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<sst xmlns="http://schemas.openxmlformats.org/spreadsheetml/2006/main" count="2032" uniqueCount="286">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</sst>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3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3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3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  <sheetName val="жовтен"/>
    </sheetNames>
    <sheetDataSet>
      <sheetData sheetId="12">
        <row r="8">
          <cell r="G8">
            <v>0</v>
          </cell>
        </row>
        <row r="9">
          <cell r="G9">
            <v>9020596.530000001</v>
          </cell>
        </row>
      </sheetData>
      <sheetData sheetId="13">
        <row r="52">
          <cell r="B52">
            <v>17423205.409999996</v>
          </cell>
        </row>
      </sheetData>
      <sheetData sheetId="21">
        <row r="28">
          <cell r="C28">
            <v>4870376.3</v>
          </cell>
        </row>
      </sheetData>
      <sheetData sheetId="22">
        <row r="28">
          <cell r="C28">
            <v>3219411</v>
          </cell>
        </row>
      </sheetData>
      <sheetData sheetId="23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48" sqref="I14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9" t="s">
        <v>278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284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281</v>
      </c>
      <c r="H4" s="205" t="s">
        <v>282</v>
      </c>
      <c r="I4" s="201" t="s">
        <v>188</v>
      </c>
      <c r="J4" s="207" t="s">
        <v>189</v>
      </c>
      <c r="K4" s="194" t="s">
        <v>274</v>
      </c>
      <c r="L4" s="195"/>
      <c r="M4" s="214"/>
      <c r="N4" s="199" t="s">
        <v>279</v>
      </c>
      <c r="O4" s="201" t="s">
        <v>136</v>
      </c>
      <c r="P4" s="201" t="s">
        <v>135</v>
      </c>
      <c r="Q4" s="194" t="s">
        <v>275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280</v>
      </c>
      <c r="F5" s="217"/>
      <c r="G5" s="204"/>
      <c r="H5" s="206"/>
      <c r="I5" s="202"/>
      <c r="J5" s="208"/>
      <c r="K5" s="196"/>
      <c r="L5" s="197"/>
      <c r="M5" s="151" t="s">
        <v>283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348873.23000000004</v>
      </c>
      <c r="G8" s="22">
        <f aca="true" t="shared" si="0" ref="G8:G30">F8-E8</f>
        <v>-42130.40999999986</v>
      </c>
      <c r="H8" s="51">
        <f>F8/E8*100</f>
        <v>89.22505938819396</v>
      </c>
      <c r="I8" s="36">
        <f aca="true" t="shared" si="1" ref="I8:I17">F8-D8</f>
        <v>-139603.06999999995</v>
      </c>
      <c r="J8" s="36">
        <f aca="true" t="shared" si="2" ref="J8:J14">F8/D8*100</f>
        <v>71.42070761672574</v>
      </c>
      <c r="K8" s="36">
        <f>F8-344287.2</f>
        <v>4586.030000000028</v>
      </c>
      <c r="L8" s="136">
        <f>F8/344287.2</f>
        <v>1.0133203616050785</v>
      </c>
      <c r="M8" s="22">
        <f>M10+M19+M33+M56+M68+M30</f>
        <v>39644.799999999974</v>
      </c>
      <c r="N8" s="22">
        <f>N10+N19+N33+N56+N68+N30</f>
        <v>583.1800000000185</v>
      </c>
      <c r="O8" s="36">
        <f aca="true" t="shared" si="3" ref="O8:O71">N8-M8</f>
        <v>-39061.61999999995</v>
      </c>
      <c r="P8" s="36">
        <f>F8/M8*100</f>
        <v>879.9974523771094</v>
      </c>
      <c r="Q8" s="36">
        <f>N8-37510.4</f>
        <v>-36927.21999999999</v>
      </c>
      <c r="R8" s="134">
        <f>N8/37510.4</f>
        <v>0.015547154922368689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283082.89</v>
      </c>
      <c r="G9" s="22">
        <f t="shared" si="0"/>
        <v>283082.89</v>
      </c>
      <c r="H9" s="20"/>
      <c r="I9" s="56">
        <f t="shared" si="1"/>
        <v>-103930.31</v>
      </c>
      <c r="J9" s="56">
        <f t="shared" si="2"/>
        <v>73.14553870513978</v>
      </c>
      <c r="K9" s="56"/>
      <c r="L9" s="135"/>
      <c r="M9" s="20">
        <f>M10+M17</f>
        <v>32246.599999999977</v>
      </c>
      <c r="N9" s="20">
        <f>N10+N17</f>
        <v>469.21000000002095</v>
      </c>
      <c r="O9" s="36">
        <f t="shared" si="3"/>
        <v>-31777.389999999956</v>
      </c>
      <c r="P9" s="56">
        <f>F9/M9*100</f>
        <v>877.8689536261194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283082.89</v>
      </c>
      <c r="G10" s="49">
        <f t="shared" si="0"/>
        <v>-36623.20999999996</v>
      </c>
      <c r="H10" s="40">
        <f aca="true" t="shared" si="4" ref="H10:H17">F10/E10*100</f>
        <v>88.54472592171373</v>
      </c>
      <c r="I10" s="56">
        <f t="shared" si="1"/>
        <v>-103930.31</v>
      </c>
      <c r="J10" s="56">
        <f t="shared" si="2"/>
        <v>73.14553870513978</v>
      </c>
      <c r="K10" s="141">
        <f>F10-272674.4</f>
        <v>10408.48999999999</v>
      </c>
      <c r="L10" s="142">
        <f>F10/272674.4</f>
        <v>1.038171863585287</v>
      </c>
      <c r="M10" s="40">
        <f>E10-вересень!E10</f>
        <v>32246.599999999977</v>
      </c>
      <c r="N10" s="40">
        <f>F10-вересень!F10</f>
        <v>469.21000000002095</v>
      </c>
      <c r="O10" s="53">
        <f t="shared" si="3"/>
        <v>-31777.389999999956</v>
      </c>
      <c r="P10" s="56">
        <f aca="true" t="shared" si="5" ref="P10:P17">N10/M10*100</f>
        <v>1.4550681312138996</v>
      </c>
      <c r="Q10" s="141">
        <f>N10-29967.1</f>
        <v>-29497.889999999978</v>
      </c>
      <c r="R10" s="142">
        <f>N10/29967.1</f>
        <v>0.015657504396488848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-404.47</v>
      </c>
      <c r="G19" s="49">
        <f t="shared" si="0"/>
        <v>-1472.07</v>
      </c>
      <c r="H19" s="40">
        <f aca="true" t="shared" si="6" ref="H19:H29">F19/E19*100</f>
        <v>-37.885912326714134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E19-вересень!E19</f>
        <v>11</v>
      </c>
      <c r="N19" s="40">
        <f>F19-вересень!F19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N19-362</f>
        <v>-362</v>
      </c>
      <c r="R19" s="135">
        <f>N19/362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95.61</v>
      </c>
      <c r="G29" s="49">
        <f t="shared" si="0"/>
        <v>-711.99</v>
      </c>
      <c r="H29" s="40">
        <f t="shared" si="6"/>
        <v>11.838781575037146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E29-вересень!E29</f>
        <v>11</v>
      </c>
      <c r="N29" s="40">
        <f>F29-вересень!F29</f>
        <v>0</v>
      </c>
      <c r="O29" s="148">
        <f t="shared" si="3"/>
        <v>-11</v>
      </c>
      <c r="P29" s="145">
        <f t="shared" si="9"/>
        <v>0</v>
      </c>
      <c r="Q29" s="148">
        <f>N29-361.95</f>
        <v>-361.95</v>
      </c>
      <c r="R29" s="149">
        <f>N29/361.95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61329.77</v>
      </c>
      <c r="G33" s="49">
        <f aca="true" t="shared" si="14" ref="G33:G72">F33-E33</f>
        <v>-3206.0699999999997</v>
      </c>
      <c r="H33" s="40">
        <f aca="true" t="shared" si="15" ref="H33:H67">F33/E33*100</f>
        <v>95.03210928996972</v>
      </c>
      <c r="I33" s="56">
        <f>F33-D33</f>
        <v>-32236.230000000003</v>
      </c>
      <c r="J33" s="56">
        <f aca="true" t="shared" si="16" ref="J33:J72">F33/D33*100</f>
        <v>65.54706837953958</v>
      </c>
      <c r="K33" s="141">
        <f>F33-60413.2</f>
        <v>916.5699999999997</v>
      </c>
      <c r="L33" s="142">
        <f>F33/60413.2</f>
        <v>1.0151716843338874</v>
      </c>
      <c r="M33" s="40">
        <f>E33-вересень!E33</f>
        <v>6833.699999999997</v>
      </c>
      <c r="N33" s="40">
        <f>F33-вересень!F33</f>
        <v>97.30999999999767</v>
      </c>
      <c r="O33" s="53">
        <f t="shared" si="3"/>
        <v>-6736.389999999999</v>
      </c>
      <c r="P33" s="56">
        <f aca="true" t="shared" si="17" ref="P33:P67">N33/M33*100</f>
        <v>1.4239723722141404</v>
      </c>
      <c r="Q33" s="141">
        <f>N33-6624.9</f>
        <v>-6527.590000000002</v>
      </c>
      <c r="R33" s="142">
        <f>N33/6624.9</f>
        <v>0.014688523600355882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45509.61</v>
      </c>
      <c r="G55" s="144">
        <f t="shared" si="14"/>
        <v>-1895.9300000000003</v>
      </c>
      <c r="H55" s="146">
        <f t="shared" si="15"/>
        <v>96.00061511797988</v>
      </c>
      <c r="I55" s="145">
        <f t="shared" si="18"/>
        <v>-24756.39</v>
      </c>
      <c r="J55" s="145">
        <f t="shared" si="16"/>
        <v>64.76761164716933</v>
      </c>
      <c r="K55" s="148">
        <f>F55-43813.51</f>
        <v>1696.0999999999985</v>
      </c>
      <c r="L55" s="149">
        <f>F55/43813.51</f>
        <v>1.0387118037335972</v>
      </c>
      <c r="M55" s="40">
        <f>E55-вересень!E55</f>
        <v>4933.700000000004</v>
      </c>
      <c r="N55" s="40">
        <f>F55-вересень!F55</f>
        <v>88.20999999999913</v>
      </c>
      <c r="O55" s="148">
        <f t="shared" si="3"/>
        <v>-4845.490000000005</v>
      </c>
      <c r="P55" s="148">
        <f t="shared" si="17"/>
        <v>1.787907655512071</v>
      </c>
      <c r="Q55" s="160">
        <f>N55-4961.43</f>
        <v>-4873.220000000001</v>
      </c>
      <c r="R55" s="161">
        <f>N55/7961.43</f>
        <v>0.011079667848615025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5666.5</v>
      </c>
      <c r="F56" s="169">
        <f>1.51+4858.68</f>
        <v>4860.1900000000005</v>
      </c>
      <c r="G56" s="49">
        <f t="shared" si="14"/>
        <v>-806.3099999999995</v>
      </c>
      <c r="H56" s="40">
        <f t="shared" si="15"/>
        <v>85.77058148769082</v>
      </c>
      <c r="I56" s="56">
        <f t="shared" si="18"/>
        <v>-1999.8099999999995</v>
      </c>
      <c r="J56" s="56">
        <f t="shared" si="16"/>
        <v>70.84825072886298</v>
      </c>
      <c r="K56" s="56">
        <f>F56-4694.5</f>
        <v>165.6900000000005</v>
      </c>
      <c r="L56" s="135">
        <f>F56/4694.5</f>
        <v>1.0352944935562893</v>
      </c>
      <c r="M56" s="40">
        <f>E56-вересень!E56</f>
        <v>553</v>
      </c>
      <c r="N56" s="40">
        <f>F56-вересень!F56</f>
        <v>16.659999999999854</v>
      </c>
      <c r="O56" s="53">
        <f t="shared" si="3"/>
        <v>-536.3400000000001</v>
      </c>
      <c r="P56" s="56">
        <f t="shared" si="17"/>
        <v>3.0126582278480747</v>
      </c>
      <c r="Q56" s="56">
        <f>N56-556.2</f>
        <v>-539.5400000000002</v>
      </c>
      <c r="R56" s="135">
        <f>N56/556.2</f>
        <v>0.029953254225098622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9768.21</v>
      </c>
      <c r="G74" s="50">
        <f aca="true" t="shared" si="24" ref="G74:G92">F74-E74</f>
        <v>-3928.290000000001</v>
      </c>
      <c r="H74" s="51">
        <f aca="true" t="shared" si="25" ref="H74:H87">F74/E74*100</f>
        <v>71.3190231080933</v>
      </c>
      <c r="I74" s="36">
        <f aca="true" t="shared" si="26" ref="I74:I92">F74-D74</f>
        <v>-8590.09</v>
      </c>
      <c r="J74" s="36">
        <f aca="true" t="shared" si="27" ref="J74:J92">F74/D74*100</f>
        <v>53.20868490001798</v>
      </c>
      <c r="K74" s="36">
        <f>F74-14585.4</f>
        <v>-4817.1900000000005</v>
      </c>
      <c r="L74" s="136">
        <f>F74/14585.4</f>
        <v>0.6697252046567115</v>
      </c>
      <c r="M74" s="22">
        <f>M77+M86+M88+M89+M94+M95+M96+M97+M99+M87+M104</f>
        <v>1516.5</v>
      </c>
      <c r="N74" s="22">
        <f>N77+N86+N88+N89+N94+N95+N96+N97+N99+N32+N104+N87+N103</f>
        <v>8.776999999999816</v>
      </c>
      <c r="O74" s="55">
        <f aca="true" t="shared" si="28" ref="O74:O92">N74-M74</f>
        <v>-1507.7230000000002</v>
      </c>
      <c r="P74" s="36">
        <f>N74/M74*100</f>
        <v>0.5787668974612473</v>
      </c>
      <c r="Q74" s="36">
        <f>N74-1622.9</f>
        <v>-1614.1230000000003</v>
      </c>
      <c r="R74" s="136">
        <f>N74/1622.9</f>
        <v>0.00540821985334883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E87-вересень!E87</f>
        <v>0</v>
      </c>
      <c r="N87" s="40">
        <f>F87-вересень!F87</f>
        <v>0</v>
      </c>
      <c r="O87" s="53">
        <f t="shared" si="28"/>
        <v>0</v>
      </c>
      <c r="P87" s="56" t="e">
        <f t="shared" si="29"/>
        <v>#DIV/0!</v>
      </c>
      <c r="Q87" s="56">
        <f>N87-12.4</f>
        <v>-12.4</v>
      </c>
      <c r="R87" s="135">
        <f>N87/12.4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97.95</v>
      </c>
      <c r="G89" s="49">
        <f t="shared" si="24"/>
        <v>-46.05</v>
      </c>
      <c r="H89" s="40">
        <f>F89/E89*100</f>
        <v>68.02083333333333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E89-вересень!E89</f>
        <v>15</v>
      </c>
      <c r="N89" s="40">
        <f>F89-вересень!F89</f>
        <v>0</v>
      </c>
      <c r="O89" s="53">
        <f t="shared" si="28"/>
        <v>-15</v>
      </c>
      <c r="P89" s="56">
        <f>N89/M89*100</f>
        <v>0</v>
      </c>
      <c r="Q89" s="56">
        <f>N89-14.8</f>
        <v>-14.8</v>
      </c>
      <c r="R89" s="135">
        <f>N89/14.8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5365.42</v>
      </c>
      <c r="G95" s="49">
        <f t="shared" si="31"/>
        <v>-466.0799999999999</v>
      </c>
      <c r="H95" s="40">
        <f>F95/E95*100</f>
        <v>92.00754522850039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E95-вересень!E95</f>
        <v>575</v>
      </c>
      <c r="N95" s="40">
        <f>F95-вересень!F95</f>
        <v>0</v>
      </c>
      <c r="O95" s="53">
        <f t="shared" si="33"/>
        <v>-575</v>
      </c>
      <c r="P95" s="56">
        <f>N95/M95*100</f>
        <v>0</v>
      </c>
      <c r="Q95" s="56">
        <f>N95-569.2</f>
        <v>-569.2</v>
      </c>
      <c r="R95" s="135">
        <f>N95/569.2</f>
        <v>0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784.08</v>
      </c>
      <c r="G96" s="49">
        <f t="shared" si="31"/>
        <v>-120.41999999999996</v>
      </c>
      <c r="H96" s="40">
        <f>F96/E96*100</f>
        <v>86.68656716417911</v>
      </c>
      <c r="I96" s="56">
        <f t="shared" si="32"/>
        <v>-415.91999999999996</v>
      </c>
      <c r="J96" s="56">
        <f>F96/D96*100</f>
        <v>65.34</v>
      </c>
      <c r="K96" s="56">
        <f>F96-795.5</f>
        <v>-11.419999999999959</v>
      </c>
      <c r="L96" s="135">
        <f>F96/795.5</f>
        <v>0.9856442489000629</v>
      </c>
      <c r="M96" s="40">
        <f>E96-вересень!E96</f>
        <v>110</v>
      </c>
      <c r="N96" s="40">
        <f>F96-вересень!F96</f>
        <v>1.7000000000000455</v>
      </c>
      <c r="O96" s="53">
        <f t="shared" si="33"/>
        <v>-108.29999999999995</v>
      </c>
      <c r="P96" s="56">
        <f>N96/M96*100</f>
        <v>1.5454545454545867</v>
      </c>
      <c r="Q96" s="56">
        <f>N96-102.1</f>
        <v>-100.39999999999995</v>
      </c>
      <c r="R96" s="135">
        <f>N96/102.1</f>
        <v>0.016650342801175763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3100.91</v>
      </c>
      <c r="G99" s="49">
        <f t="shared" si="31"/>
        <v>-236.09000000000015</v>
      </c>
      <c r="H99" s="40">
        <f>F99/E99*100</f>
        <v>92.92508240934971</v>
      </c>
      <c r="I99" s="56">
        <f t="shared" si="32"/>
        <v>-1471.79</v>
      </c>
      <c r="J99" s="56">
        <f>F99/D99*100</f>
        <v>67.81354560762787</v>
      </c>
      <c r="K99" s="56">
        <f>F99-3411.3</f>
        <v>-310.3900000000003</v>
      </c>
      <c r="L99" s="135">
        <f>F99/3411.3</f>
        <v>0.909011227391317</v>
      </c>
      <c r="M99" s="40">
        <f>E99-вересень!E99</f>
        <v>330</v>
      </c>
      <c r="N99" s="40">
        <f>F99-вересень!F99</f>
        <v>7.076999999999771</v>
      </c>
      <c r="O99" s="53">
        <f t="shared" si="33"/>
        <v>-322.92300000000023</v>
      </c>
      <c r="P99" s="56">
        <f>N99/M99*100</f>
        <v>2.1445454545453853</v>
      </c>
      <c r="Q99" s="56">
        <f>N99-432.2</f>
        <v>-425.1230000000002</v>
      </c>
      <c r="R99" s="135">
        <f>N99/432.2</f>
        <v>0.01637436372049924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E102-вересень!E102</f>
        <v>0</v>
      </c>
      <c r="N102" s="40">
        <f>F102-вересень!F102</f>
        <v>0</v>
      </c>
      <c r="O102" s="53"/>
      <c r="P102" s="60"/>
      <c r="Q102" s="60">
        <f>N102-124.1</f>
        <v>-124.1</v>
      </c>
      <c r="R102" s="138">
        <f>N102/124.1</f>
        <v>0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19.9</v>
      </c>
      <c r="G105" s="49">
        <f>F105-E105</f>
        <v>-7.300000000000001</v>
      </c>
      <c r="H105" s="40">
        <f>F105/E105*100</f>
        <v>73.16176470588235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E105-вересень!E105</f>
        <v>3</v>
      </c>
      <c r="N105" s="40">
        <f>F105-вересень!F105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404727.3399999999</v>
      </c>
      <c r="F107" s="152">
        <f>F8+F74+F105+F106</f>
        <v>358661.7100000001</v>
      </c>
      <c r="G107" s="181">
        <f>F107-E107</f>
        <v>-46065.62999999983</v>
      </c>
      <c r="H107" s="51">
        <f>F107/E107*100</f>
        <v>88.61810768701717</v>
      </c>
      <c r="I107" s="36">
        <f t="shared" si="34"/>
        <v>-148217.8899999999</v>
      </c>
      <c r="J107" s="36">
        <f t="shared" si="36"/>
        <v>70.75875809561089</v>
      </c>
      <c r="K107" s="36">
        <f>F107-358888.5</f>
        <v>-226.78999999992084</v>
      </c>
      <c r="L107" s="136">
        <f>F107/358888.5</f>
        <v>0.9993680767146345</v>
      </c>
      <c r="M107" s="22">
        <f>M8+M74+M105+M106</f>
        <v>41164.299999999974</v>
      </c>
      <c r="N107" s="22">
        <f>N8+N74+N105+N106</f>
        <v>591.9570000000183</v>
      </c>
      <c r="O107" s="55">
        <f t="shared" si="35"/>
        <v>-40572.34299999996</v>
      </c>
      <c r="P107" s="36">
        <f>N107/M107*100</f>
        <v>1.4380348991723864</v>
      </c>
      <c r="Q107" s="36">
        <f>N107-39133.2</f>
        <v>-38541.24299999998</v>
      </c>
      <c r="R107" s="136">
        <f>N107/39133.2</f>
        <v>0.015126721045046618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320610.6</v>
      </c>
      <c r="F108" s="153">
        <f>F10-F18+F96</f>
        <v>283866.97000000003</v>
      </c>
      <c r="G108" s="153">
        <f>G10-G18+G96</f>
        <v>-36743.62999999996</v>
      </c>
      <c r="H108" s="72">
        <f>F108/E108*100</f>
        <v>88.5394837226218</v>
      </c>
      <c r="I108" s="52">
        <f t="shared" si="34"/>
        <v>-104346.22999999998</v>
      </c>
      <c r="J108" s="52">
        <f t="shared" si="36"/>
        <v>73.12141112151777</v>
      </c>
      <c r="K108" s="52">
        <f>F108-273558.9</f>
        <v>10308.070000000007</v>
      </c>
      <c r="L108" s="137">
        <f>F108/273558.9</f>
        <v>1.0376813549111361</v>
      </c>
      <c r="M108" s="71">
        <f>M10-M18+M96</f>
        <v>32356.599999999977</v>
      </c>
      <c r="N108" s="71">
        <f>N10-N18+N96</f>
        <v>470.910000000021</v>
      </c>
      <c r="O108" s="53">
        <f t="shared" si="35"/>
        <v>-31885.689999999955</v>
      </c>
      <c r="P108" s="52">
        <f>N108/M108*100</f>
        <v>1.4553754102718497</v>
      </c>
      <c r="Q108" s="52">
        <f>N108-30069.2</f>
        <v>-29598.28999999998</v>
      </c>
      <c r="R108" s="137">
        <f>N108/30069.2</f>
        <v>0.01566087558032874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84116.73999999993</v>
      </c>
      <c r="F109" s="153">
        <f>F107-F108</f>
        <v>74794.74000000005</v>
      </c>
      <c r="G109" s="182">
        <f>F109-E109</f>
        <v>-9321.999999999884</v>
      </c>
      <c r="H109" s="72">
        <f>F109/E109*100</f>
        <v>88.91778259594952</v>
      </c>
      <c r="I109" s="52">
        <f t="shared" si="34"/>
        <v>-43871.659999999916</v>
      </c>
      <c r="J109" s="52">
        <f t="shared" si="36"/>
        <v>63.02941692003808</v>
      </c>
      <c r="K109" s="52">
        <f>F109-85329.7</f>
        <v>-10534.959999999948</v>
      </c>
      <c r="L109" s="137">
        <f>F109/85329.7</f>
        <v>0.8765381807272269</v>
      </c>
      <c r="M109" s="71">
        <f>M107-M108</f>
        <v>8807.699999999997</v>
      </c>
      <c r="N109" s="71">
        <f>N107-N108</f>
        <v>121.0469999999973</v>
      </c>
      <c r="O109" s="53">
        <f t="shared" si="35"/>
        <v>-8686.653</v>
      </c>
      <c r="P109" s="52">
        <f>N109/M109*100</f>
        <v>1.3743315508021088</v>
      </c>
      <c r="Q109" s="52">
        <f>N109-9064</f>
        <v>-8942.953000000003</v>
      </c>
      <c r="R109" s="137">
        <f>N109/9064</f>
        <v>0.013354699911738448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283866.97000000003</v>
      </c>
      <c r="G110" s="111">
        <f>F110-E110</f>
        <v>-31373.72999999998</v>
      </c>
      <c r="H110" s="72">
        <f>F110/E110*100</f>
        <v>90.04769054249658</v>
      </c>
      <c r="I110" s="81">
        <f t="shared" si="34"/>
        <v>-104346.22999999998</v>
      </c>
      <c r="J110" s="52">
        <f t="shared" si="36"/>
        <v>73.12141112151777</v>
      </c>
      <c r="K110" s="52"/>
      <c r="L110" s="137"/>
      <c r="M110" s="72">
        <f>E110-вересень!E110</f>
        <v>32356.600000000035</v>
      </c>
      <c r="N110" s="71">
        <f>N108</f>
        <v>470.910000000021</v>
      </c>
      <c r="O110" s="63">
        <f t="shared" si="35"/>
        <v>-31885.690000000013</v>
      </c>
      <c r="P110" s="52">
        <f>N110/M110*100</f>
        <v>1.455375410271847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E114-вересень!E114</f>
        <v>0</v>
      </c>
      <c r="N114" s="40">
        <f>F114-вересень!F114</f>
        <v>0</v>
      </c>
      <c r="O114" s="53"/>
      <c r="P114" s="60"/>
      <c r="Q114" s="60">
        <f>N114-0.9</f>
        <v>-0.9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1146</v>
      </c>
      <c r="G115" s="49">
        <f t="shared" si="37"/>
        <v>-1861</v>
      </c>
      <c r="H115" s="40">
        <f aca="true" t="shared" si="39" ref="H115:H126">F115/E115*100</f>
        <v>38.11107416029265</v>
      </c>
      <c r="I115" s="60">
        <f t="shared" si="38"/>
        <v>-2525.5</v>
      </c>
      <c r="J115" s="60">
        <f aca="true" t="shared" si="40" ref="J115:J121">F115/D115*100</f>
        <v>31.21340051749966</v>
      </c>
      <c r="K115" s="60">
        <f>F115-3077.6</f>
        <v>-1931.6</v>
      </c>
      <c r="L115" s="138">
        <f>F115/3077.6</f>
        <v>0.37236807902261504</v>
      </c>
      <c r="M115" s="40">
        <f>E115-вересень!E115</f>
        <v>327.4000000000001</v>
      </c>
      <c r="N115" s="40">
        <f>F115-вересень!F115</f>
        <v>23.069999999999936</v>
      </c>
      <c r="O115" s="53">
        <f aca="true" t="shared" si="41" ref="O115:O126">N115-M115</f>
        <v>-304.33000000000015</v>
      </c>
      <c r="P115" s="60">
        <f>N115/M115*100</f>
        <v>7.046426389737304</v>
      </c>
      <c r="Q115" s="60">
        <f>N115-150.5</f>
        <v>-127.43000000000006</v>
      </c>
      <c r="R115" s="138">
        <f>N115/150.5</f>
        <v>0.15328903654485007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237.65</v>
      </c>
      <c r="G116" s="49">
        <f t="shared" si="37"/>
        <v>15.150000000000006</v>
      </c>
      <c r="H116" s="40">
        <f t="shared" si="39"/>
        <v>106.80898876404494</v>
      </c>
      <c r="I116" s="60">
        <f t="shared" si="38"/>
        <v>-30.450000000000017</v>
      </c>
      <c r="J116" s="60">
        <f t="shared" si="40"/>
        <v>88.64229765013054</v>
      </c>
      <c r="K116" s="60">
        <f>F116-200.1</f>
        <v>37.55000000000001</v>
      </c>
      <c r="L116" s="138">
        <f>F116/200.1</f>
        <v>1.187656171914043</v>
      </c>
      <c r="M116" s="40">
        <f>E116-вересень!E116</f>
        <v>22</v>
      </c>
      <c r="N116" s="40">
        <f>F116-вересень!F116</f>
        <v>0.4900000000000091</v>
      </c>
      <c r="O116" s="53">
        <f t="shared" si="41"/>
        <v>-21.50999999999999</v>
      </c>
      <c r="P116" s="60">
        <f>N116/M116*100</f>
        <v>2.227272727272769</v>
      </c>
      <c r="Q116" s="60">
        <f>N116-24.4</f>
        <v>-23.90999999999999</v>
      </c>
      <c r="R116" s="138">
        <f>N116/24.4</f>
        <v>0.02008196721311513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1383.51</v>
      </c>
      <c r="G117" s="62">
        <f t="shared" si="37"/>
        <v>-1845.99</v>
      </c>
      <c r="H117" s="72">
        <f t="shared" si="39"/>
        <v>42.839758476544354</v>
      </c>
      <c r="I117" s="61">
        <f t="shared" si="38"/>
        <v>-2556.09</v>
      </c>
      <c r="J117" s="61">
        <f t="shared" si="40"/>
        <v>35.11803228754189</v>
      </c>
      <c r="K117" s="61">
        <f>F117-3299.2</f>
        <v>-1915.6899999999998</v>
      </c>
      <c r="L117" s="139">
        <f>F117/3299.2</f>
        <v>0.41934711445198836</v>
      </c>
      <c r="M117" s="62">
        <f>M115+M116+M114</f>
        <v>349.4000000000001</v>
      </c>
      <c r="N117" s="38">
        <f>SUM(N114:N116)</f>
        <v>23.559999999999945</v>
      </c>
      <c r="O117" s="61">
        <f t="shared" si="41"/>
        <v>-325.84000000000015</v>
      </c>
      <c r="P117" s="61">
        <f>N117/M117*100</f>
        <v>6.742987979393228</v>
      </c>
      <c r="Q117" s="61">
        <f>N117-175.8</f>
        <v>-152.24000000000007</v>
      </c>
      <c r="R117" s="139">
        <f>N117/175.8</f>
        <v>0.1340159271899883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314.5</v>
      </c>
      <c r="G119" s="49">
        <f t="shared" si="37"/>
        <v>54</v>
      </c>
      <c r="H119" s="40">
        <f t="shared" si="39"/>
        <v>120.72936660268714</v>
      </c>
      <c r="I119" s="60">
        <f t="shared" si="38"/>
        <v>47.30000000000001</v>
      </c>
      <c r="J119" s="60">
        <f t="shared" si="40"/>
        <v>117.70209580838325</v>
      </c>
      <c r="K119" s="60">
        <f>F119-174.4</f>
        <v>140.1</v>
      </c>
      <c r="L119" s="138">
        <f>F119/174.4</f>
        <v>1.8033256880733943</v>
      </c>
      <c r="M119" s="40">
        <f>E119-вересень!E119</f>
        <v>73</v>
      </c>
      <c r="N119" s="40">
        <f>F119-вересень!F119</f>
        <v>0.35000000000002274</v>
      </c>
      <c r="O119" s="53">
        <f>N119-M119</f>
        <v>-72.64999999999998</v>
      </c>
      <c r="P119" s="60">
        <f>N119/M119*100</f>
        <v>0.4794520547945517</v>
      </c>
      <c r="Q119" s="60">
        <f>N119-1.4</f>
        <v>-1.0499999999999772</v>
      </c>
      <c r="R119" s="138">
        <f>N119/1.4</f>
        <v>0.25000000000001626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59624.72</v>
      </c>
      <c r="G120" s="49">
        <f t="shared" si="37"/>
        <v>-387.8799999999974</v>
      </c>
      <c r="H120" s="40">
        <f t="shared" si="39"/>
        <v>99.35366906283014</v>
      </c>
      <c r="I120" s="53">
        <f t="shared" si="38"/>
        <v>-12351.270000000004</v>
      </c>
      <c r="J120" s="60">
        <f t="shared" si="40"/>
        <v>82.83973586191729</v>
      </c>
      <c r="K120" s="60">
        <f>F120-50659.1</f>
        <v>8965.620000000003</v>
      </c>
      <c r="L120" s="138">
        <f>F120/50659.1</f>
        <v>1.1769794568004563</v>
      </c>
      <c r="M120" s="40">
        <f>E120-вересень!E120</f>
        <v>7500</v>
      </c>
      <c r="N120" s="40">
        <f>F120-вересень!F120</f>
        <v>88.26000000000204</v>
      </c>
      <c r="O120" s="53">
        <f t="shared" si="41"/>
        <v>-7411.739999999998</v>
      </c>
      <c r="P120" s="60">
        <f aca="true" t="shared" si="42" ref="P120:P125">N120/M120*100</f>
        <v>1.1768000000000272</v>
      </c>
      <c r="Q120" s="60">
        <f>N120-3034.9</f>
        <v>-2946.639999999998</v>
      </c>
      <c r="R120" s="138">
        <f>N120/3034.9</f>
        <v>0.02908168308675806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1754.73</v>
      </c>
      <c r="G121" s="49">
        <f t="shared" si="37"/>
        <v>-1444.67</v>
      </c>
      <c r="H121" s="40">
        <f t="shared" si="39"/>
        <v>54.845596049259235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E121-вересень!E121</f>
        <v>1476.4</v>
      </c>
      <c r="N121" s="40">
        <f>F121-вересень!F121</f>
        <v>0</v>
      </c>
      <c r="O121" s="53">
        <f t="shared" si="41"/>
        <v>-1476.4</v>
      </c>
      <c r="P121" s="60">
        <f t="shared" si="42"/>
        <v>0</v>
      </c>
      <c r="Q121" s="60">
        <f>N121-167.3</f>
        <v>-167.3</v>
      </c>
      <c r="R121" s="138">
        <f>N121/167.3</f>
        <v>0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2393.24</v>
      </c>
      <c r="G122" s="49">
        <f t="shared" si="37"/>
        <v>-15182.99</v>
      </c>
      <c r="H122" s="40">
        <f t="shared" si="39"/>
        <v>13.616344346882123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E122-вересень!E122</f>
        <v>4648.800000000001</v>
      </c>
      <c r="N122" s="40">
        <f>F122-вересень!F122</f>
        <v>0</v>
      </c>
      <c r="O122" s="53">
        <f t="shared" si="41"/>
        <v>-4648.800000000001</v>
      </c>
      <c r="P122" s="60">
        <f t="shared" si="42"/>
        <v>0</v>
      </c>
      <c r="Q122" s="60">
        <f>N122-7566.7</f>
        <v>-7566.7</v>
      </c>
      <c r="R122" s="138">
        <f>N122/7566.7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1074.91</v>
      </c>
      <c r="G123" s="49">
        <f t="shared" si="37"/>
        <v>-545.8999999999999</v>
      </c>
      <c r="H123" s="40">
        <f t="shared" si="39"/>
        <v>66.31930948106195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E123-вересень!E123</f>
        <v>189.58999999999992</v>
      </c>
      <c r="N123" s="40">
        <f>F123-вересень!F123</f>
        <v>0</v>
      </c>
      <c r="O123" s="53">
        <f t="shared" si="41"/>
        <v>-189.58999999999992</v>
      </c>
      <c r="P123" s="60">
        <f t="shared" si="42"/>
        <v>0</v>
      </c>
      <c r="Q123" s="60">
        <f>N123-20.2</f>
        <v>-20.2</v>
      </c>
      <c r="R123" s="138">
        <f>N123/20.2</f>
        <v>0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65162.100000000006</v>
      </c>
      <c r="G124" s="62">
        <f t="shared" si="37"/>
        <v>-17507.439999999988</v>
      </c>
      <c r="H124" s="72">
        <f t="shared" si="39"/>
        <v>78.822381254329</v>
      </c>
      <c r="I124" s="61">
        <f t="shared" si="38"/>
        <v>-36908.22</v>
      </c>
      <c r="J124" s="61">
        <f>F124/D124*100</f>
        <v>63.84039944226686</v>
      </c>
      <c r="K124" s="61">
        <f>F124-76087.4</f>
        <v>-10925.299999999988</v>
      </c>
      <c r="L124" s="139">
        <f>F124/76087.4</f>
        <v>0.856411179774838</v>
      </c>
      <c r="M124" s="62">
        <f>M120+M121+M122+M123+M119</f>
        <v>13887.79</v>
      </c>
      <c r="N124" s="62">
        <f>N120+N121+N122+N123+N119</f>
        <v>88.61000000000206</v>
      </c>
      <c r="O124" s="61">
        <f t="shared" si="41"/>
        <v>-13799.179999999998</v>
      </c>
      <c r="P124" s="61">
        <f t="shared" si="42"/>
        <v>0.6380424819211844</v>
      </c>
      <c r="Q124" s="61">
        <f>N124-10790.5</f>
        <v>-10701.889999999998</v>
      </c>
      <c r="R124" s="139">
        <f>N124/10790.5</f>
        <v>0.008211853018859372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24.17</v>
      </c>
      <c r="G125" s="49">
        <f t="shared" si="37"/>
        <v>-6.989999999999998</v>
      </c>
      <c r="H125" s="40">
        <f t="shared" si="39"/>
        <v>77.56739409499359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E125-вересень!E125</f>
        <v>4</v>
      </c>
      <c r="N125" s="40">
        <f>F125-вересень!F125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7368.88</v>
      </c>
      <c r="G128" s="49">
        <f aca="true" t="shared" si="43" ref="G128:G135">F128-E128</f>
        <v>648.3800000000001</v>
      </c>
      <c r="H128" s="40">
        <f>F128/E128*100</f>
        <v>109.64779406294174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E128-вересень!E128</f>
        <v>2</v>
      </c>
      <c r="N128" s="40">
        <f>F128-вересень!F128</f>
        <v>0</v>
      </c>
      <c r="O128" s="53">
        <f aca="true" t="shared" si="45" ref="O128:O135">N128-M128</f>
        <v>-2</v>
      </c>
      <c r="P128" s="60">
        <f>N128/M128*100</f>
        <v>0</v>
      </c>
      <c r="Q128" s="60">
        <f>N128-35</f>
        <v>-35</v>
      </c>
      <c r="R128" s="162">
        <f>N128/35</f>
        <v>0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E129-вересень!E129</f>
        <v>0</v>
      </c>
      <c r="N129" s="40">
        <f>F129-вересень!F129</f>
        <v>0</v>
      </c>
      <c r="O129" s="53">
        <f t="shared" si="45"/>
        <v>0</v>
      </c>
      <c r="P129" s="60"/>
      <c r="Q129" s="60">
        <f>N129-0.7</f>
        <v>-0.7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7413.61</v>
      </c>
      <c r="G130" s="62">
        <f t="shared" si="43"/>
        <v>654.75</v>
      </c>
      <c r="H130" s="72">
        <f>F130/E130*100</f>
        <v>109.68728454206776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0.07409691729663664</v>
      </c>
      <c r="M130" s="62">
        <f>M125+M128+M129+M127</f>
        <v>6</v>
      </c>
      <c r="N130" s="62">
        <f>N125+N128+N129+N127</f>
        <v>0</v>
      </c>
      <c r="O130" s="61">
        <f t="shared" si="45"/>
        <v>-6</v>
      </c>
      <c r="P130" s="61">
        <f>N130/M130*100</f>
        <v>0</v>
      </c>
      <c r="Q130" s="61">
        <f>N130-35.8</f>
        <v>-35.8</v>
      </c>
      <c r="R130" s="137">
        <f>N130/35.8</f>
        <v>0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31.86</v>
      </c>
      <c r="G131" s="49">
        <f>F131-E131</f>
        <v>8.009999999999998</v>
      </c>
      <c r="H131" s="40">
        <f>F131/E131*100</f>
        <v>133.58490566037736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E131-вересень!E131</f>
        <v>0.40000000000000213</v>
      </c>
      <c r="N131" s="40">
        <f>F131-вересень!F131</f>
        <v>0</v>
      </c>
      <c r="O131" s="53">
        <f>N131-M131</f>
        <v>-0.40000000000000213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73991.08</v>
      </c>
      <c r="G134" s="50">
        <f t="shared" si="43"/>
        <v>-18690.67</v>
      </c>
      <c r="H134" s="51">
        <f>F134/E134*100</f>
        <v>79.83349472792648</v>
      </c>
      <c r="I134" s="36">
        <f t="shared" si="44"/>
        <v>-40799.54000000001</v>
      </c>
      <c r="J134" s="36">
        <f>F134/D134*100</f>
        <v>64.4574269221649</v>
      </c>
      <c r="K134" s="36">
        <f>F134-88248.3</f>
        <v>-14257.220000000001</v>
      </c>
      <c r="L134" s="136">
        <f>F134/88248.3</f>
        <v>0.8384419869844518</v>
      </c>
      <c r="M134" s="31">
        <f>M117+M131+M124+M130+M133+M132</f>
        <v>14243.59</v>
      </c>
      <c r="N134" s="31">
        <f>N117+N131+N124+N130+N133+N132</f>
        <v>112.170000000002</v>
      </c>
      <c r="O134" s="36">
        <f t="shared" si="45"/>
        <v>-14131.419999999998</v>
      </c>
      <c r="P134" s="36">
        <f>N134/M134*100</f>
        <v>0.7875121370384994</v>
      </c>
      <c r="Q134" s="36">
        <f>N134-11009.7</f>
        <v>-10897.529999999999</v>
      </c>
      <c r="R134" s="136">
        <f>N134/11009.7</f>
        <v>0.010188288509223866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432652.7900000001</v>
      </c>
      <c r="G135" s="50">
        <f t="shared" si="43"/>
        <v>-64756.299999999814</v>
      </c>
      <c r="H135" s="51">
        <f>F135/E135*100</f>
        <v>86.9812793328727</v>
      </c>
      <c r="I135" s="36">
        <f t="shared" si="44"/>
        <v>-189017.42999999988</v>
      </c>
      <c r="J135" s="36">
        <f>F135/D135*100</f>
        <v>69.59522526268029</v>
      </c>
      <c r="K135" s="36">
        <f>F135-447136.8</f>
        <v>-14484.009999999893</v>
      </c>
      <c r="L135" s="136">
        <f>F135/447136.8</f>
        <v>0.9676072065640764</v>
      </c>
      <c r="M135" s="22">
        <f>M107+M134</f>
        <v>55407.88999999997</v>
      </c>
      <c r="N135" s="22">
        <f>N107+N134</f>
        <v>704.1270000000203</v>
      </c>
      <c r="O135" s="36">
        <f t="shared" si="45"/>
        <v>-54703.76299999995</v>
      </c>
      <c r="P135" s="36">
        <f>N135/M135*100</f>
        <v>1.2708063779364647</v>
      </c>
      <c r="Q135" s="36">
        <f>N135-50142.9</f>
        <v>-49438.77299999998</v>
      </c>
      <c r="R135" s="136">
        <f>N135/50142.9</f>
        <v>0.014042406801362112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22</v>
      </c>
      <c r="D137" s="4" t="s">
        <v>118</v>
      </c>
    </row>
    <row r="138" spans="2:17" ht="31.5">
      <c r="B138" s="78" t="s">
        <v>154</v>
      </c>
      <c r="C138" s="39">
        <f>IF(O107&lt;0,ABS(O107/C137),0)</f>
        <v>1844.197409090907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41913</v>
      </c>
      <c r="D139" s="39">
        <v>592</v>
      </c>
      <c r="N139" s="193"/>
      <c r="O139" s="193"/>
    </row>
    <row r="140" spans="3:15" ht="15.75">
      <c r="C140" s="120">
        <v>41912</v>
      </c>
      <c r="D140" s="39">
        <v>4136.8</v>
      </c>
      <c r="F140" s="4" t="s">
        <v>166</v>
      </c>
      <c r="G140" s="189" t="s">
        <v>151</v>
      </c>
      <c r="H140" s="189"/>
      <c r="I140" s="115">
        <v>9020.59653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41911</v>
      </c>
      <c r="D141" s="39">
        <v>4937.4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v>121105.87190000001</v>
      </c>
      <c r="E143" s="80"/>
      <c r="F143" s="100" t="s">
        <v>147</v>
      </c>
      <c r="G143" s="189" t="s">
        <v>149</v>
      </c>
      <c r="H143" s="189"/>
      <c r="I143" s="116">
        <v>112085.27537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v>17423.205409999995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09" t="s">
        <v>183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227" t="s">
        <v>192</v>
      </c>
      <c r="E3" s="46"/>
      <c r="F3" s="228" t="s">
        <v>107</v>
      </c>
      <c r="G3" s="229"/>
      <c r="H3" s="229"/>
      <c r="I3" s="229"/>
      <c r="J3" s="230"/>
      <c r="K3" s="123"/>
      <c r="L3" s="123"/>
      <c r="M3" s="207" t="s">
        <v>200</v>
      </c>
      <c r="N3" s="222" t="s">
        <v>178</v>
      </c>
      <c r="O3" s="222"/>
      <c r="P3" s="222"/>
      <c r="Q3" s="222"/>
      <c r="R3" s="222"/>
    </row>
    <row r="4" spans="1:18" ht="22.5" customHeight="1">
      <c r="A4" s="211"/>
      <c r="B4" s="176"/>
      <c r="C4" s="177"/>
      <c r="D4" s="227"/>
      <c r="E4" s="232" t="s">
        <v>153</v>
      </c>
      <c r="F4" s="223" t="s">
        <v>116</v>
      </c>
      <c r="G4" s="225" t="s">
        <v>175</v>
      </c>
      <c r="H4" s="205" t="s">
        <v>176</v>
      </c>
      <c r="I4" s="220" t="s">
        <v>188</v>
      </c>
      <c r="J4" s="218" t="s">
        <v>189</v>
      </c>
      <c r="K4" s="125" t="s">
        <v>174</v>
      </c>
      <c r="L4" s="130" t="s">
        <v>173</v>
      </c>
      <c r="M4" s="234"/>
      <c r="N4" s="199" t="s">
        <v>186</v>
      </c>
      <c r="O4" s="220" t="s">
        <v>136</v>
      </c>
      <c r="P4" s="222" t="s">
        <v>135</v>
      </c>
      <c r="Q4" s="131" t="s">
        <v>174</v>
      </c>
      <c r="R4" s="132" t="s">
        <v>173</v>
      </c>
    </row>
    <row r="5" spans="1:18" ht="82.5" customHeight="1">
      <c r="A5" s="175"/>
      <c r="B5" s="176"/>
      <c r="C5" s="177"/>
      <c r="D5" s="227"/>
      <c r="E5" s="233"/>
      <c r="F5" s="224"/>
      <c r="G5" s="226"/>
      <c r="H5" s="206"/>
      <c r="I5" s="221"/>
      <c r="J5" s="219"/>
      <c r="K5" s="196" t="s">
        <v>177</v>
      </c>
      <c r="L5" s="197"/>
      <c r="M5" s="208"/>
      <c r="N5" s="200"/>
      <c r="O5" s="221"/>
      <c r="P5" s="222"/>
      <c r="Q5" s="196" t="s">
        <v>179</v>
      </c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3"/>
      <c r="O138" s="193"/>
    </row>
    <row r="139" spans="3:15" ht="15.75">
      <c r="C139" s="120">
        <v>41669</v>
      </c>
      <c r="D139" s="39">
        <v>4752.2</v>
      </c>
      <c r="F139" s="4" t="s">
        <v>166</v>
      </c>
      <c r="G139" s="189" t="s">
        <v>151</v>
      </c>
      <c r="H139" s="189"/>
      <c r="I139" s="115">
        <v>13825.22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41668</v>
      </c>
      <c r="D140" s="39">
        <v>1984.7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111410.62</v>
      </c>
      <c r="E142" s="80"/>
      <c r="F142" s="100" t="s">
        <v>147</v>
      </c>
      <c r="G142" s="189" t="s">
        <v>149</v>
      </c>
      <c r="H142" s="189"/>
      <c r="I142" s="116">
        <v>97585.4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v>0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9" sqref="F14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272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269</v>
      </c>
      <c r="H4" s="205" t="s">
        <v>270</v>
      </c>
      <c r="I4" s="201" t="s">
        <v>188</v>
      </c>
      <c r="J4" s="207" t="s">
        <v>189</v>
      </c>
      <c r="K4" s="194" t="s">
        <v>274</v>
      </c>
      <c r="L4" s="195"/>
      <c r="M4" s="214"/>
      <c r="N4" s="199" t="s">
        <v>277</v>
      </c>
      <c r="O4" s="201" t="s">
        <v>136</v>
      </c>
      <c r="P4" s="201" t="s">
        <v>135</v>
      </c>
      <c r="Q4" s="194" t="s">
        <v>275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268</v>
      </c>
      <c r="F5" s="217"/>
      <c r="G5" s="204"/>
      <c r="H5" s="206"/>
      <c r="I5" s="202"/>
      <c r="J5" s="208"/>
      <c r="K5" s="196"/>
      <c r="L5" s="197"/>
      <c r="M5" s="151" t="s">
        <v>271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81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82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3"/>
      <c r="O139" s="193"/>
    </row>
    <row r="140" spans="3:15" ht="15.75">
      <c r="C140" s="120">
        <v>41911</v>
      </c>
      <c r="D140" s="39">
        <v>4937.4</v>
      </c>
      <c r="F140" s="4" t="s">
        <v>166</v>
      </c>
      <c r="G140" s="189" t="s">
        <v>151</v>
      </c>
      <c r="H140" s="189"/>
      <c r="I140" s="115">
        <f>9020596.53/1000</f>
        <v>9020.596529999999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41908</v>
      </c>
      <c r="D141" s="39">
        <v>1468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f>121201109.21/1000</f>
        <v>121201.10921</v>
      </c>
      <c r="E143" s="80"/>
      <c r="F143" s="100" t="s">
        <v>147</v>
      </c>
      <c r="G143" s="189" t="s">
        <v>149</v>
      </c>
      <c r="H143" s="189"/>
      <c r="I143" s="116">
        <f>112180512.68/1000</f>
        <v>112180.51268000001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f>17426016.57/1000</f>
        <v>17426.01657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266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261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259</v>
      </c>
      <c r="H4" s="205" t="s">
        <v>260</v>
      </c>
      <c r="I4" s="201" t="s">
        <v>188</v>
      </c>
      <c r="J4" s="207" t="s">
        <v>189</v>
      </c>
      <c r="K4" s="194" t="s">
        <v>264</v>
      </c>
      <c r="L4" s="195"/>
      <c r="M4" s="214"/>
      <c r="N4" s="199" t="s">
        <v>267</v>
      </c>
      <c r="O4" s="201" t="s">
        <v>136</v>
      </c>
      <c r="P4" s="201" t="s">
        <v>135</v>
      </c>
      <c r="Q4" s="194" t="s">
        <v>265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258</v>
      </c>
      <c r="F5" s="217"/>
      <c r="G5" s="204"/>
      <c r="H5" s="206"/>
      <c r="I5" s="202"/>
      <c r="J5" s="208"/>
      <c r="K5" s="196"/>
      <c r="L5" s="197"/>
      <c r="M5" s="151" t="s">
        <v>262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3"/>
      <c r="O139" s="193"/>
    </row>
    <row r="140" spans="3:15" ht="15.75">
      <c r="C140" s="120">
        <v>41879</v>
      </c>
      <c r="D140" s="39">
        <v>3653.6</v>
      </c>
      <c r="F140" s="4" t="s">
        <v>166</v>
      </c>
      <c r="G140" s="189" t="s">
        <v>151</v>
      </c>
      <c r="H140" s="189"/>
      <c r="I140" s="115">
        <v>13829.857960000001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41878</v>
      </c>
      <c r="D141" s="39">
        <v>1194.3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v>127799.14</v>
      </c>
      <c r="E143" s="80"/>
      <c r="F143" s="100" t="s">
        <v>147</v>
      </c>
      <c r="G143" s="189" t="s">
        <v>149</v>
      </c>
      <c r="H143" s="189"/>
      <c r="I143" s="116">
        <v>113969.28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v>18493.9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256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252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249</v>
      </c>
      <c r="H4" s="205" t="s">
        <v>250</v>
      </c>
      <c r="I4" s="201" t="s">
        <v>188</v>
      </c>
      <c r="J4" s="207" t="s">
        <v>189</v>
      </c>
      <c r="K4" s="194" t="s">
        <v>254</v>
      </c>
      <c r="L4" s="195"/>
      <c r="M4" s="214"/>
      <c r="N4" s="199" t="s">
        <v>257</v>
      </c>
      <c r="O4" s="201" t="s">
        <v>136</v>
      </c>
      <c r="P4" s="201" t="s">
        <v>135</v>
      </c>
      <c r="Q4" s="194" t="s">
        <v>255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248</v>
      </c>
      <c r="F5" s="217"/>
      <c r="G5" s="204"/>
      <c r="H5" s="206"/>
      <c r="I5" s="202"/>
      <c r="J5" s="208"/>
      <c r="K5" s="196"/>
      <c r="L5" s="197"/>
      <c r="M5" s="151" t="s">
        <v>251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3"/>
      <c r="O139" s="193"/>
    </row>
    <row r="140" spans="3:15" ht="15.75">
      <c r="C140" s="120">
        <v>41850</v>
      </c>
      <c r="D140" s="39">
        <v>4320</v>
      </c>
      <c r="F140" s="4" t="s">
        <v>166</v>
      </c>
      <c r="G140" s="189" t="s">
        <v>151</v>
      </c>
      <c r="H140" s="189"/>
      <c r="I140" s="115">
        <f>13825221.96/1000</f>
        <v>13825.22196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41849</v>
      </c>
      <c r="D141" s="39">
        <v>4403.7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f>'[1]залишки  (2)'!$G$8/1000</f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f>120856761.09/1000</f>
        <v>120856.76109</v>
      </c>
      <c r="E143" s="80"/>
      <c r="F143" s="100" t="s">
        <v>147</v>
      </c>
      <c r="G143" s="189" t="s">
        <v>149</v>
      </c>
      <c r="H143" s="189"/>
      <c r="I143" s="116">
        <f>107031539.13/1000</f>
        <v>107031.53912999999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f>26199804.73/1000</f>
        <v>26199.80473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243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238</v>
      </c>
      <c r="H4" s="205" t="s">
        <v>239</v>
      </c>
      <c r="I4" s="201" t="s">
        <v>188</v>
      </c>
      <c r="J4" s="207" t="s">
        <v>189</v>
      </c>
      <c r="K4" s="194" t="s">
        <v>240</v>
      </c>
      <c r="L4" s="195"/>
      <c r="M4" s="214"/>
      <c r="N4" s="199" t="s">
        <v>247</v>
      </c>
      <c r="O4" s="201" t="s">
        <v>136</v>
      </c>
      <c r="P4" s="201" t="s">
        <v>135</v>
      </c>
      <c r="Q4" s="194" t="s">
        <v>242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237</v>
      </c>
      <c r="F5" s="217"/>
      <c r="G5" s="204"/>
      <c r="H5" s="206"/>
      <c r="I5" s="202"/>
      <c r="J5" s="208"/>
      <c r="K5" s="196"/>
      <c r="L5" s="197"/>
      <c r="M5" s="151" t="s">
        <v>241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8"/>
      <c r="H138" s="198"/>
      <c r="I138" s="198"/>
      <c r="J138" s="19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3"/>
      <c r="O139" s="193"/>
    </row>
    <row r="140" spans="3:15" ht="15.75">
      <c r="C140" s="120">
        <v>41816</v>
      </c>
      <c r="D140" s="39">
        <v>4277.2</v>
      </c>
      <c r="F140" s="4" t="s">
        <v>166</v>
      </c>
      <c r="G140" s="189" t="s">
        <v>151</v>
      </c>
      <c r="H140" s="189"/>
      <c r="I140" s="115">
        <f>'[1]залишки  (2)'!$G$9/1000</f>
        <v>9020.59653</v>
      </c>
      <c r="J140" s="190" t="s">
        <v>161</v>
      </c>
      <c r="K140" s="190"/>
      <c r="L140" s="190"/>
      <c r="M140" s="190"/>
      <c r="N140" s="193"/>
      <c r="O140" s="193"/>
    </row>
    <row r="141" spans="3:15" ht="15.75">
      <c r="C141" s="120">
        <v>41815</v>
      </c>
      <c r="D141" s="39">
        <v>1877.7</v>
      </c>
      <c r="G141" s="191" t="s">
        <v>155</v>
      </c>
      <c r="H141" s="191"/>
      <c r="I141" s="112">
        <v>0</v>
      </c>
      <c r="J141" s="192" t="s">
        <v>162</v>
      </c>
      <c r="K141" s="192"/>
      <c r="L141" s="192"/>
      <c r="M141" s="192"/>
      <c r="N141" s="193"/>
      <c r="O141" s="193"/>
    </row>
    <row r="142" spans="7:13" ht="15.75" customHeight="1">
      <c r="G142" s="189" t="s">
        <v>148</v>
      </c>
      <c r="H142" s="189"/>
      <c r="I142" s="112">
        <f>'[1]залишки  (2)'!$G$8/1000</f>
        <v>0</v>
      </c>
      <c r="J142" s="190" t="s">
        <v>163</v>
      </c>
      <c r="K142" s="190"/>
      <c r="L142" s="190"/>
      <c r="M142" s="190"/>
    </row>
    <row r="143" spans="2:13" ht="18.75" customHeight="1">
      <c r="B143" s="187" t="s">
        <v>160</v>
      </c>
      <c r="C143" s="188"/>
      <c r="D143" s="117">
        <v>117976.29</v>
      </c>
      <c r="E143" s="80"/>
      <c r="F143" s="100" t="s">
        <v>147</v>
      </c>
      <c r="G143" s="189" t="s">
        <v>149</v>
      </c>
      <c r="H143" s="189"/>
      <c r="I143" s="116">
        <v>104151.07</v>
      </c>
      <c r="J143" s="190" t="s">
        <v>164</v>
      </c>
      <c r="K143" s="190"/>
      <c r="L143" s="190"/>
      <c r="M143" s="190"/>
    </row>
    <row r="144" spans="7:12" ht="9.75" customHeight="1">
      <c r="G144" s="183"/>
      <c r="H144" s="183"/>
      <c r="I144" s="98"/>
      <c r="J144" s="99"/>
      <c r="K144" s="99"/>
      <c r="L144" s="99"/>
    </row>
    <row r="145" spans="2:12" ht="22.5" customHeight="1">
      <c r="B145" s="184" t="s">
        <v>169</v>
      </c>
      <c r="C145" s="185"/>
      <c r="D145" s="119">
        <v>41386</v>
      </c>
      <c r="E145" s="77" t="s">
        <v>104</v>
      </c>
      <c r="G145" s="183"/>
      <c r="H145" s="183"/>
      <c r="I145" s="98"/>
      <c r="J145" s="99"/>
      <c r="K145" s="99"/>
      <c r="L145" s="99"/>
    </row>
    <row r="146" spans="4:15" ht="15.75">
      <c r="D146" s="114"/>
      <c r="N146" s="183"/>
      <c r="O146" s="183"/>
    </row>
    <row r="147" spans="4:15" ht="15.75">
      <c r="D147" s="113"/>
      <c r="I147" s="39"/>
      <c r="N147" s="186"/>
      <c r="O147" s="186"/>
    </row>
    <row r="148" spans="14:15" ht="15.75">
      <c r="N148" s="183"/>
      <c r="O148" s="183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233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229</v>
      </c>
      <c r="H4" s="205" t="s">
        <v>230</v>
      </c>
      <c r="I4" s="201" t="s">
        <v>188</v>
      </c>
      <c r="J4" s="207" t="s">
        <v>189</v>
      </c>
      <c r="K4" s="194" t="s">
        <v>231</v>
      </c>
      <c r="L4" s="195"/>
      <c r="M4" s="214"/>
      <c r="N4" s="199" t="s">
        <v>236</v>
      </c>
      <c r="O4" s="201" t="s">
        <v>136</v>
      </c>
      <c r="P4" s="201" t="s">
        <v>135</v>
      </c>
      <c r="Q4" s="194" t="s">
        <v>234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228</v>
      </c>
      <c r="F5" s="217"/>
      <c r="G5" s="204"/>
      <c r="H5" s="206"/>
      <c r="I5" s="202"/>
      <c r="J5" s="208"/>
      <c r="K5" s="196"/>
      <c r="L5" s="197"/>
      <c r="M5" s="151" t="s">
        <v>232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3"/>
      <c r="O138" s="193"/>
    </row>
    <row r="139" spans="3:15" ht="15.75">
      <c r="C139" s="120">
        <v>41788</v>
      </c>
      <c r="D139" s="39">
        <v>5993.3</v>
      </c>
      <c r="F139" s="4" t="s">
        <v>166</v>
      </c>
      <c r="G139" s="189" t="s">
        <v>151</v>
      </c>
      <c r="H139" s="189"/>
      <c r="I139" s="115">
        <v>13825.22196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41787</v>
      </c>
      <c r="D140" s="39">
        <v>2595.2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118982.48</v>
      </c>
      <c r="E142" s="80"/>
      <c r="F142" s="100" t="s">
        <v>147</v>
      </c>
      <c r="G142" s="189" t="s">
        <v>149</v>
      </c>
      <c r="H142" s="189"/>
      <c r="I142" s="116">
        <v>105157.26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v>27359.4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9" t="s">
        <v>226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224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225</v>
      </c>
      <c r="N3" s="215" t="s">
        <v>221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217</v>
      </c>
      <c r="H4" s="205" t="s">
        <v>218</v>
      </c>
      <c r="I4" s="201" t="s">
        <v>188</v>
      </c>
      <c r="J4" s="207" t="s">
        <v>189</v>
      </c>
      <c r="K4" s="194" t="s">
        <v>219</v>
      </c>
      <c r="L4" s="195"/>
      <c r="M4" s="214"/>
      <c r="N4" s="199" t="s">
        <v>227</v>
      </c>
      <c r="O4" s="201" t="s">
        <v>136</v>
      </c>
      <c r="P4" s="201" t="s">
        <v>135</v>
      </c>
      <c r="Q4" s="194" t="s">
        <v>222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216</v>
      </c>
      <c r="F5" s="217"/>
      <c r="G5" s="204"/>
      <c r="H5" s="206"/>
      <c r="I5" s="202"/>
      <c r="J5" s="208"/>
      <c r="K5" s="196"/>
      <c r="L5" s="197"/>
      <c r="M5" s="151" t="s">
        <v>220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3"/>
      <c r="O138" s="193"/>
    </row>
    <row r="139" spans="3:15" ht="15.75">
      <c r="C139" s="120">
        <v>41758</v>
      </c>
      <c r="D139" s="39">
        <v>5440.9</v>
      </c>
      <c r="F139" s="4" t="s">
        <v>166</v>
      </c>
      <c r="G139" s="189" t="s">
        <v>151</v>
      </c>
      <c r="H139" s="189"/>
      <c r="I139" s="115">
        <v>13825.22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41757</v>
      </c>
      <c r="D140" s="39">
        <v>1923.2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123251.48</v>
      </c>
      <c r="E142" s="80"/>
      <c r="F142" s="100" t="s">
        <v>147</v>
      </c>
      <c r="G142" s="189" t="s">
        <v>149</v>
      </c>
      <c r="H142" s="189"/>
      <c r="I142" s="116">
        <v>109426.25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f>'[1]надх'!$B$52/1000</f>
        <v>22196.79284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9" t="s">
        <v>212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178" t="s">
        <v>208</v>
      </c>
      <c r="E3" s="178"/>
      <c r="F3" s="179" t="s">
        <v>107</v>
      </c>
      <c r="G3" s="180"/>
      <c r="H3" s="180"/>
      <c r="I3" s="180"/>
      <c r="J3" s="180"/>
      <c r="K3" s="180"/>
      <c r="L3" s="212"/>
      <c r="M3" s="213" t="s">
        <v>210</v>
      </c>
      <c r="N3" s="215" t="s">
        <v>198</v>
      </c>
      <c r="O3" s="215"/>
      <c r="P3" s="215"/>
      <c r="Q3" s="215"/>
      <c r="R3" s="215"/>
    </row>
    <row r="4" spans="1:18" ht="22.5" customHeight="1">
      <c r="A4" s="211"/>
      <c r="B4" s="176"/>
      <c r="C4" s="177"/>
      <c r="D4" s="178"/>
      <c r="E4" s="178"/>
      <c r="F4" s="216" t="s">
        <v>116</v>
      </c>
      <c r="G4" s="203" t="s">
        <v>207</v>
      </c>
      <c r="H4" s="205" t="s">
        <v>195</v>
      </c>
      <c r="I4" s="201" t="s">
        <v>188</v>
      </c>
      <c r="J4" s="207" t="s">
        <v>189</v>
      </c>
      <c r="K4" s="194" t="s">
        <v>196</v>
      </c>
      <c r="L4" s="195"/>
      <c r="M4" s="214"/>
      <c r="N4" s="199" t="s">
        <v>213</v>
      </c>
      <c r="O4" s="201" t="s">
        <v>136</v>
      </c>
      <c r="P4" s="201" t="s">
        <v>135</v>
      </c>
      <c r="Q4" s="194" t="s">
        <v>197</v>
      </c>
      <c r="R4" s="195"/>
    </row>
    <row r="5" spans="1:18" ht="82.5" customHeight="1">
      <c r="A5" s="175"/>
      <c r="B5" s="176"/>
      <c r="C5" s="177"/>
      <c r="D5" s="150" t="s">
        <v>209</v>
      </c>
      <c r="E5" s="158" t="s">
        <v>214</v>
      </c>
      <c r="F5" s="217"/>
      <c r="G5" s="204"/>
      <c r="H5" s="206"/>
      <c r="I5" s="202"/>
      <c r="J5" s="208"/>
      <c r="K5" s="196"/>
      <c r="L5" s="197"/>
      <c r="M5" s="151" t="s">
        <v>211</v>
      </c>
      <c r="N5" s="200"/>
      <c r="O5" s="202"/>
      <c r="P5" s="202"/>
      <c r="Q5" s="196"/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3"/>
      <c r="O138" s="193"/>
    </row>
    <row r="139" spans="3:15" ht="15.75">
      <c r="C139" s="120">
        <v>41726</v>
      </c>
      <c r="D139" s="39">
        <v>4682.6</v>
      </c>
      <c r="F139" s="4" t="s">
        <v>166</v>
      </c>
      <c r="G139" s="189" t="s">
        <v>151</v>
      </c>
      <c r="H139" s="189"/>
      <c r="I139" s="115">
        <v>13825.22196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41725</v>
      </c>
      <c r="D140" s="39">
        <v>3360.7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114985.02570999999</v>
      </c>
      <c r="E142" s="80"/>
      <c r="F142" s="100" t="s">
        <v>147</v>
      </c>
      <c r="G142" s="189" t="s">
        <v>149</v>
      </c>
      <c r="H142" s="189"/>
      <c r="I142" s="116">
        <v>101159.80375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v>3918.1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09" t="s">
        <v>193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26"/>
      <c r="R1" s="127"/>
    </row>
    <row r="2" spans="2:18" s="1" customFormat="1" ht="15.75" customHeight="1">
      <c r="B2" s="210"/>
      <c r="C2" s="210"/>
      <c r="D2" s="21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11"/>
      <c r="B3" s="176"/>
      <c r="C3" s="177" t="s">
        <v>0</v>
      </c>
      <c r="D3" s="227" t="s">
        <v>187</v>
      </c>
      <c r="E3" s="46"/>
      <c r="F3" s="228" t="s">
        <v>107</v>
      </c>
      <c r="G3" s="229"/>
      <c r="H3" s="229"/>
      <c r="I3" s="229"/>
      <c r="J3" s="230"/>
      <c r="K3" s="123"/>
      <c r="L3" s="123"/>
      <c r="M3" s="231" t="s">
        <v>190</v>
      </c>
      <c r="N3" s="222" t="s">
        <v>185</v>
      </c>
      <c r="O3" s="222"/>
      <c r="P3" s="222"/>
      <c r="Q3" s="222"/>
      <c r="R3" s="222"/>
    </row>
    <row r="4" spans="1:18" ht="22.5" customHeight="1">
      <c r="A4" s="211"/>
      <c r="B4" s="176"/>
      <c r="C4" s="177"/>
      <c r="D4" s="227"/>
      <c r="E4" s="232" t="s">
        <v>191</v>
      </c>
      <c r="F4" s="223" t="s">
        <v>116</v>
      </c>
      <c r="G4" s="225" t="s">
        <v>167</v>
      </c>
      <c r="H4" s="205" t="s">
        <v>168</v>
      </c>
      <c r="I4" s="220" t="s">
        <v>188</v>
      </c>
      <c r="J4" s="218" t="s">
        <v>189</v>
      </c>
      <c r="K4" s="125" t="s">
        <v>174</v>
      </c>
      <c r="L4" s="130" t="s">
        <v>173</v>
      </c>
      <c r="M4" s="231"/>
      <c r="N4" s="199" t="s">
        <v>194</v>
      </c>
      <c r="O4" s="220" t="s">
        <v>136</v>
      </c>
      <c r="P4" s="222" t="s">
        <v>135</v>
      </c>
      <c r="Q4" s="131" t="s">
        <v>174</v>
      </c>
      <c r="R4" s="132" t="s">
        <v>173</v>
      </c>
    </row>
    <row r="5" spans="1:18" ht="82.5" customHeight="1">
      <c r="A5" s="175"/>
      <c r="B5" s="176"/>
      <c r="C5" s="177"/>
      <c r="D5" s="227"/>
      <c r="E5" s="233"/>
      <c r="F5" s="224"/>
      <c r="G5" s="226"/>
      <c r="H5" s="206"/>
      <c r="I5" s="221"/>
      <c r="J5" s="219"/>
      <c r="K5" s="196" t="s">
        <v>184</v>
      </c>
      <c r="L5" s="197"/>
      <c r="M5" s="231"/>
      <c r="N5" s="200"/>
      <c r="O5" s="221"/>
      <c r="P5" s="222"/>
      <c r="Q5" s="196" t="s">
        <v>199</v>
      </c>
      <c r="R5" s="19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8"/>
      <c r="H137" s="198"/>
      <c r="I137" s="198"/>
      <c r="J137" s="19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3"/>
      <c r="O138" s="193"/>
    </row>
    <row r="139" spans="3:15" ht="15.75">
      <c r="C139" s="120">
        <v>41697</v>
      </c>
      <c r="D139" s="39">
        <v>2276.8</v>
      </c>
      <c r="F139" s="4" t="s">
        <v>166</v>
      </c>
      <c r="G139" s="189" t="s">
        <v>151</v>
      </c>
      <c r="H139" s="189"/>
      <c r="I139" s="115">
        <v>13825.22</v>
      </c>
      <c r="J139" s="190" t="s">
        <v>161</v>
      </c>
      <c r="K139" s="190"/>
      <c r="L139" s="190"/>
      <c r="M139" s="190"/>
      <c r="N139" s="193"/>
      <c r="O139" s="193"/>
    </row>
    <row r="140" spans="3:15" ht="15.75">
      <c r="C140" s="120">
        <v>41696</v>
      </c>
      <c r="D140" s="39">
        <v>3746.1</v>
      </c>
      <c r="G140" s="191" t="s">
        <v>155</v>
      </c>
      <c r="H140" s="191"/>
      <c r="I140" s="112">
        <v>0</v>
      </c>
      <c r="J140" s="192" t="s">
        <v>162</v>
      </c>
      <c r="K140" s="192"/>
      <c r="L140" s="192"/>
      <c r="M140" s="192"/>
      <c r="N140" s="193"/>
      <c r="O140" s="193"/>
    </row>
    <row r="141" spans="7:13" ht="15.75" customHeight="1">
      <c r="G141" s="189" t="s">
        <v>148</v>
      </c>
      <c r="H141" s="189"/>
      <c r="I141" s="112">
        <f>'[1]залишки  (2)'!$G$8/1000</f>
        <v>0</v>
      </c>
      <c r="J141" s="190" t="s">
        <v>163</v>
      </c>
      <c r="K141" s="190"/>
      <c r="L141" s="190"/>
      <c r="M141" s="190"/>
    </row>
    <row r="142" spans="2:13" ht="18.75" customHeight="1">
      <c r="B142" s="187" t="s">
        <v>160</v>
      </c>
      <c r="C142" s="188"/>
      <c r="D142" s="117">
        <v>121970.53</v>
      </c>
      <c r="E142" s="80"/>
      <c r="F142" s="100" t="s">
        <v>147</v>
      </c>
      <c r="G142" s="189" t="s">
        <v>149</v>
      </c>
      <c r="H142" s="189"/>
      <c r="I142" s="116">
        <v>108145.31</v>
      </c>
      <c r="J142" s="190" t="s">
        <v>164</v>
      </c>
      <c r="K142" s="190"/>
      <c r="L142" s="190"/>
      <c r="M142" s="190"/>
    </row>
    <row r="143" spans="7:12" ht="9.75" customHeight="1">
      <c r="G143" s="183"/>
      <c r="H143" s="183"/>
      <c r="I143" s="98"/>
      <c r="J143" s="99"/>
      <c r="K143" s="99"/>
      <c r="L143" s="99"/>
    </row>
    <row r="144" spans="2:12" ht="22.5" customHeight="1">
      <c r="B144" s="184" t="s">
        <v>169</v>
      </c>
      <c r="C144" s="185"/>
      <c r="D144" s="119">
        <v>0</v>
      </c>
      <c r="E144" s="77" t="s">
        <v>104</v>
      </c>
      <c r="G144" s="183"/>
      <c r="H144" s="183"/>
      <c r="I144" s="98"/>
      <c r="J144" s="99"/>
      <c r="K144" s="99"/>
      <c r="L144" s="99"/>
    </row>
    <row r="145" spans="4:15" ht="15.75">
      <c r="D145" s="114"/>
      <c r="N145" s="183"/>
      <c r="O145" s="183"/>
    </row>
    <row r="146" spans="4:15" ht="15.75">
      <c r="D146" s="113"/>
      <c r="I146" s="39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2014-10-02T12:10:10Z</cp:lastPrinted>
  <dcterms:created xsi:type="dcterms:W3CDTF">2003-07-28T11:27:56Z</dcterms:created>
  <dcterms:modified xsi:type="dcterms:W3CDTF">2014-10-02T12:46:14Z</dcterms:modified>
  <cp:category/>
  <cp:version/>
  <cp:contentType/>
  <cp:contentStatus/>
</cp:coreProperties>
</file>